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marce\Documents\cursos\agricolas\Aviação agrícola\"/>
    </mc:Choice>
  </mc:AlternateContent>
  <xr:revisionPtr revIDLastSave="0" documentId="13_ncr:1_{A38DF17E-D324-4A52-A8F1-831C97ED0CAC}" xr6:coauthVersionLast="43" xr6:coauthVersionMax="43" xr10:uidLastSave="{00000000-0000-0000-0000-000000000000}"/>
  <bookViews>
    <workbookView xWindow="-120" yWindow="-120" windowWidth="19440" windowHeight="1044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" l="1"/>
  <c r="B28" i="1"/>
  <c r="B36" i="1" s="1"/>
  <c r="G36" i="1" s="1"/>
  <c r="B27" i="1"/>
  <c r="B26" i="1"/>
  <c r="H19" i="1"/>
  <c r="G20" i="1"/>
  <c r="I9" i="1"/>
  <c r="I10" i="1" s="1"/>
  <c r="I13" i="1"/>
  <c r="I12" i="1"/>
  <c r="I11" i="1"/>
  <c r="I7" i="1"/>
  <c r="I8" i="1" s="1"/>
  <c r="C3" i="1"/>
  <c r="C6" i="1"/>
  <c r="C11" i="1"/>
  <c r="G28" i="1" l="1"/>
  <c r="H28" i="1" s="1"/>
  <c r="I28" i="1" s="1"/>
  <c r="C17" i="1"/>
  <c r="J8" i="1" s="1"/>
  <c r="H36" i="1"/>
  <c r="I36" i="1" s="1"/>
  <c r="B31" i="1"/>
  <c r="G31" i="1" s="1"/>
  <c r="H31" i="1" s="1"/>
  <c r="I31" i="1" s="1"/>
  <c r="B35" i="1"/>
  <c r="G35" i="1" s="1"/>
  <c r="H35" i="1" s="1"/>
  <c r="I35" i="1" s="1"/>
  <c r="B30" i="1"/>
  <c r="B34" i="1"/>
  <c r="B29" i="1"/>
  <c r="B33" i="1"/>
  <c r="G33" i="1" s="1"/>
  <c r="H33" i="1" s="1"/>
  <c r="I33" i="1" s="1"/>
  <c r="B32" i="1"/>
  <c r="E18" i="1" l="1"/>
  <c r="J7" i="1"/>
  <c r="G34" i="1"/>
  <c r="H34" i="1" s="1"/>
  <c r="I34" i="1" s="1"/>
  <c r="G29" i="1"/>
  <c r="H29" i="1" s="1"/>
  <c r="I29" i="1" s="1"/>
  <c r="G32" i="1"/>
  <c r="H32" i="1" s="1"/>
  <c r="I32" i="1" s="1"/>
  <c r="G30" i="1"/>
  <c r="H30" i="1" s="1"/>
  <c r="I30" i="1" s="1"/>
  <c r="I14" i="1"/>
  <c r="C19" i="1"/>
  <c r="I15" i="1"/>
  <c r="C20" i="1"/>
  <c r="C18" i="1"/>
  <c r="C28" i="1" l="1"/>
  <c r="D28" i="1" s="1"/>
  <c r="F28" i="1" s="1"/>
  <c r="C31" i="1"/>
  <c r="D31" i="1" s="1"/>
  <c r="C35" i="1"/>
  <c r="D35" i="1" s="1"/>
  <c r="E35" i="1" s="1"/>
  <c r="C33" i="1"/>
  <c r="D33" i="1" s="1"/>
  <c r="F33" i="1" s="1"/>
  <c r="C34" i="1"/>
  <c r="D34" i="1" s="1"/>
  <c r="F34" i="1" s="1"/>
  <c r="C32" i="1"/>
  <c r="D32" i="1" s="1"/>
  <c r="E32" i="1" s="1"/>
  <c r="C36" i="1"/>
  <c r="D36" i="1" s="1"/>
  <c r="C29" i="1"/>
  <c r="D29" i="1" s="1"/>
  <c r="F29" i="1" s="1"/>
  <c r="C30" i="1"/>
  <c r="D30" i="1" s="1"/>
  <c r="F30" i="1" s="1"/>
  <c r="E33" i="1" l="1"/>
  <c r="E29" i="1"/>
  <c r="F35" i="1"/>
  <c r="E28" i="1"/>
  <c r="E34" i="1"/>
  <c r="F32" i="1"/>
  <c r="E30" i="1"/>
  <c r="F36" i="1"/>
  <c r="E36" i="1"/>
  <c r="F31" i="1"/>
  <c r="E31" i="1"/>
</calcChain>
</file>

<file path=xl/sharedStrings.xml><?xml version="1.0" encoding="utf-8"?>
<sst xmlns="http://schemas.openxmlformats.org/spreadsheetml/2006/main" count="60" uniqueCount="59">
  <si>
    <t>Área total da aplicação (hectares)</t>
  </si>
  <si>
    <t>Eficiência da Aplicação</t>
  </si>
  <si>
    <t>Tempo de carregamento e rolagem (min)</t>
  </si>
  <si>
    <t>Dosagem de aplicação (litros ou Kg)</t>
  </si>
  <si>
    <t>Faixa efetiva (metros)</t>
  </si>
  <si>
    <t>Comprimento médio das áreas (metros)</t>
  </si>
  <si>
    <t>Rendimento segundo a fórmula</t>
  </si>
  <si>
    <t>Tempo necessário para apllicação</t>
  </si>
  <si>
    <t>minutos</t>
  </si>
  <si>
    <t xml:space="preserve"> horas  e</t>
  </si>
  <si>
    <t>Distância media da pista até a área (Km)</t>
  </si>
  <si>
    <t xml:space="preserve"> ha/hora</t>
  </si>
  <si>
    <t xml:space="preserve"> %</t>
  </si>
  <si>
    <t>Velocidade do vôo em aplicação (mph)</t>
  </si>
  <si>
    <t>Velocidade do vôo em translado (mph)</t>
  </si>
  <si>
    <t>Tempo de balão (segundos)</t>
  </si>
  <si>
    <t>Consumo de combustível (l/hora)</t>
  </si>
  <si>
    <t xml:space="preserve">Consumo de combustível </t>
  </si>
  <si>
    <t>litros</t>
  </si>
  <si>
    <t>Rendimento no tiro (ha/min)</t>
  </si>
  <si>
    <t>Rendimento teórico (ha/hora)</t>
  </si>
  <si>
    <t>Carga (litros)</t>
  </si>
  <si>
    <t>Número de hectares por carga</t>
  </si>
  <si>
    <t>Número total de cargas</t>
  </si>
  <si>
    <t>Quantidade total de produto</t>
  </si>
  <si>
    <t>Quantidade total de veiculo</t>
  </si>
  <si>
    <t>Quantidade total de adjuvante</t>
  </si>
  <si>
    <t>Quantidade de produto por hectare (litros)</t>
  </si>
  <si>
    <t>Quantidade de ajuvante por hectare (litros)</t>
  </si>
  <si>
    <t>DADOS COMPLEMENTARES</t>
  </si>
  <si>
    <t>Valor por hectare</t>
  </si>
  <si>
    <t xml:space="preserve">Valor total </t>
  </si>
  <si>
    <t xml:space="preserve">          Eng. Agr. MSc  Marcelo Drescher</t>
  </si>
  <si>
    <t xml:space="preserve">      e-mail : marcelodrescher@gmail.com</t>
  </si>
  <si>
    <t>Digite abaixo</t>
  </si>
  <si>
    <t xml:space="preserve">Valor bruto pretendido por hora de vôo </t>
  </si>
  <si>
    <t>Planilha elaborada por:</t>
  </si>
  <si>
    <t>Quantidade a ser aplicada por hectare (kg)</t>
  </si>
  <si>
    <t>Velocidade do avião (mph)</t>
  </si>
  <si>
    <t>ha/min</t>
  </si>
  <si>
    <t>Kg/min</t>
  </si>
  <si>
    <t>Kg/30 seg</t>
  </si>
  <si>
    <t>Kg/15 seg</t>
  </si>
  <si>
    <t>Alternativa 1 (faixa + 1m)</t>
  </si>
  <si>
    <t>Alternativa 2 (faixa + 2m)</t>
  </si>
  <si>
    <t>Alternativa 3 (faixa + 3m)</t>
  </si>
  <si>
    <t>Alterantiva 4 (faixa + 4m)</t>
  </si>
  <si>
    <t>Alternativa 5 (faixa - 1m)</t>
  </si>
  <si>
    <t>Alternativa 6 (faixa - 2m)</t>
  </si>
  <si>
    <t>Alternativa 8 (faixa - 4m)</t>
  </si>
  <si>
    <t>ha/hora</t>
  </si>
  <si>
    <t>Peso /Tempo (para ajuste)</t>
  </si>
  <si>
    <t>Quantidade</t>
  </si>
  <si>
    <t>Faixa fornecida</t>
  </si>
  <si>
    <t>Alternativa 7 (faixa - 3m)</t>
  </si>
  <si>
    <t xml:space="preserve">Análise do Rendimento Operacional </t>
  </si>
  <si>
    <t xml:space="preserve">               Disponivel no site: WWW.CIFE.COM.BR</t>
  </si>
  <si>
    <t xml:space="preserve">      Calculo de ajuste da vazão de sólidos em função da faixa de aplicação e velocidade da aeronave</t>
  </si>
  <si>
    <t>Rendimento REAL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</si>
</sst>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6" x14ac:knownFonts="1"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4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4"/>
      <color theme="4" tint="-0.49998474074526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0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DB6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2" fillId="0" borderId="0" xfId="0" applyFont="1"/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5" fillId="2" borderId="0" xfId="0" applyFont="1" applyFill="1" applyProtection="1">
      <protection hidden="1"/>
    </xf>
    <xf numFmtId="0" fontId="6" fillId="17" borderId="10" xfId="0" applyFont="1" applyFill="1" applyBorder="1" applyProtection="1">
      <protection hidden="1"/>
    </xf>
    <xf numFmtId="0" fontId="7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6" fillId="17" borderId="11" xfId="0" applyFont="1" applyFill="1" applyBorder="1" applyProtection="1">
      <protection hidden="1"/>
    </xf>
    <xf numFmtId="0" fontId="9" fillId="0" borderId="0" xfId="0" applyFont="1" applyProtection="1">
      <protection hidden="1"/>
    </xf>
    <xf numFmtId="0" fontId="2" fillId="5" borderId="0" xfId="0" applyFont="1" applyFill="1" applyProtection="1">
      <protection hidden="1"/>
    </xf>
    <xf numFmtId="2" fontId="3" fillId="6" borderId="0" xfId="0" applyNumberFormat="1" applyFont="1" applyFill="1" applyProtection="1">
      <protection hidden="1"/>
    </xf>
    <xf numFmtId="0" fontId="2" fillId="7" borderId="0" xfId="0" applyFont="1" applyFill="1" applyProtection="1">
      <protection hidden="1"/>
    </xf>
    <xf numFmtId="2" fontId="3" fillId="9" borderId="0" xfId="0" applyNumberFormat="1" applyFont="1" applyFill="1" applyProtection="1">
      <protection hidden="1"/>
    </xf>
    <xf numFmtId="2" fontId="3" fillId="9" borderId="0" xfId="0" applyNumberFormat="1" applyFont="1" applyFill="1" applyAlignment="1" applyProtection="1">
      <alignment horizontal="right"/>
      <protection hidden="1"/>
    </xf>
    <xf numFmtId="0" fontId="5" fillId="7" borderId="0" xfId="0" applyFont="1" applyFill="1" applyProtection="1">
      <protection hidden="1"/>
    </xf>
    <xf numFmtId="0" fontId="2" fillId="8" borderId="0" xfId="0" applyFont="1" applyFill="1" applyProtection="1">
      <protection hidden="1"/>
    </xf>
    <xf numFmtId="164" fontId="3" fillId="10" borderId="0" xfId="0" applyNumberFormat="1" applyFont="1" applyFill="1" applyAlignment="1" applyProtection="1">
      <alignment horizontal="right"/>
      <protection hidden="1"/>
    </xf>
    <xf numFmtId="0" fontId="5" fillId="8" borderId="0" xfId="0" applyFont="1" applyFill="1" applyProtection="1">
      <protection hidden="1"/>
    </xf>
    <xf numFmtId="0" fontId="6" fillId="17" borderId="12" xfId="0" applyFont="1" applyFill="1" applyBorder="1" applyProtection="1">
      <protection hidden="1"/>
    </xf>
    <xf numFmtId="14" fontId="7" fillId="0" borderId="0" xfId="0" applyNumberFormat="1" applyFont="1" applyProtection="1">
      <protection hidden="1"/>
    </xf>
    <xf numFmtId="0" fontId="10" fillId="12" borderId="2" xfId="0" applyFont="1" applyFill="1" applyBorder="1" applyAlignment="1" applyProtection="1">
      <alignment horizontal="right"/>
      <protection hidden="1"/>
    </xf>
    <xf numFmtId="0" fontId="11" fillId="12" borderId="0" xfId="0" applyFont="1" applyFill="1" applyBorder="1" applyProtection="1">
      <protection hidden="1"/>
    </xf>
    <xf numFmtId="1" fontId="9" fillId="11" borderId="3" xfId="0" applyNumberFormat="1" applyFont="1" applyFill="1" applyBorder="1" applyProtection="1">
      <protection hidden="1"/>
    </xf>
    <xf numFmtId="0" fontId="3" fillId="11" borderId="4" xfId="0" applyFont="1" applyFill="1" applyBorder="1" applyAlignment="1" applyProtection="1">
      <alignment horizontal="left"/>
      <protection hidden="1"/>
    </xf>
    <xf numFmtId="0" fontId="10" fillId="12" borderId="1" xfId="0" applyFont="1" applyFill="1" applyBorder="1" applyAlignment="1" applyProtection="1">
      <alignment horizontal="right"/>
      <protection hidden="1"/>
    </xf>
    <xf numFmtId="0" fontId="9" fillId="11" borderId="6" xfId="0" applyFont="1" applyFill="1" applyBorder="1" applyProtection="1">
      <protection hidden="1"/>
    </xf>
    <xf numFmtId="0" fontId="3" fillId="11" borderId="6" xfId="0" applyFont="1" applyFill="1" applyBorder="1" applyProtection="1">
      <protection hidden="1"/>
    </xf>
    <xf numFmtId="0" fontId="2" fillId="11" borderId="5" xfId="0" applyFont="1" applyFill="1" applyBorder="1" applyAlignment="1" applyProtection="1">
      <alignment horizontal="right"/>
      <protection hidden="1"/>
    </xf>
    <xf numFmtId="14" fontId="2" fillId="0" borderId="0" xfId="0" applyNumberFormat="1" applyFont="1" applyProtection="1">
      <protection hidden="1"/>
    </xf>
    <xf numFmtId="0" fontId="10" fillId="12" borderId="9" xfId="0" applyFont="1" applyFill="1" applyBorder="1" applyAlignment="1" applyProtection="1">
      <alignment horizontal="right"/>
      <protection hidden="1"/>
    </xf>
    <xf numFmtId="0" fontId="11" fillId="12" borderId="7" xfId="0" applyFont="1" applyFill="1" applyBorder="1" applyProtection="1">
      <protection hidden="1"/>
    </xf>
    <xf numFmtId="2" fontId="9" fillId="11" borderId="6" xfId="0" applyNumberFormat="1" applyFont="1" applyFill="1" applyBorder="1" applyProtection="1">
      <protection hidden="1"/>
    </xf>
    <xf numFmtId="0" fontId="3" fillId="11" borderId="5" xfId="0" applyFont="1" applyFill="1" applyBorder="1" applyAlignment="1" applyProtection="1">
      <alignment horizontal="left"/>
      <protection hidden="1"/>
    </xf>
    <xf numFmtId="0" fontId="9" fillId="4" borderId="0" xfId="0" applyFont="1" applyFill="1" applyBorder="1" applyProtection="1">
      <protection hidden="1"/>
    </xf>
    <xf numFmtId="0" fontId="2" fillId="4" borderId="0" xfId="0" applyFont="1" applyFill="1" applyBorder="1" applyAlignment="1" applyProtection="1">
      <alignment horizontal="right"/>
      <protection hidden="1"/>
    </xf>
    <xf numFmtId="2" fontId="9" fillId="11" borderId="7" xfId="0" applyNumberFormat="1" applyFont="1" applyFill="1" applyBorder="1" applyProtection="1">
      <protection hidden="1"/>
    </xf>
    <xf numFmtId="0" fontId="3" fillId="11" borderId="8" xfId="0" applyFont="1" applyFill="1" applyBorder="1" applyAlignment="1" applyProtection="1">
      <alignment horizontal="left"/>
      <protection hidden="1"/>
    </xf>
    <xf numFmtId="1" fontId="2" fillId="0" borderId="0" xfId="0" applyNumberFormat="1" applyFont="1" applyProtection="1">
      <protection hidden="1"/>
    </xf>
    <xf numFmtId="0" fontId="12" fillId="0" borderId="0" xfId="0" applyFont="1" applyProtection="1">
      <protection hidden="1"/>
    </xf>
    <xf numFmtId="2" fontId="3" fillId="0" borderId="0" xfId="0" applyNumberFormat="1" applyFont="1" applyProtection="1">
      <protection hidden="1"/>
    </xf>
    <xf numFmtId="2" fontId="2" fillId="0" borderId="0" xfId="0" applyNumberFormat="1" applyFont="1" applyProtection="1">
      <protection hidden="1"/>
    </xf>
    <xf numFmtId="0" fontId="13" fillId="12" borderId="0" xfId="0" applyFont="1" applyFill="1" applyAlignment="1" applyProtection="1">
      <alignment horizontal="right"/>
      <protection hidden="1"/>
    </xf>
    <xf numFmtId="0" fontId="13" fillId="12" borderId="0" xfId="0" applyFont="1" applyFill="1" applyProtection="1">
      <protection hidden="1"/>
    </xf>
    <xf numFmtId="2" fontId="14" fillId="0" borderId="0" xfId="0" applyNumberFormat="1" applyFont="1" applyProtection="1">
      <protection hidden="1"/>
    </xf>
    <xf numFmtId="0" fontId="14" fillId="0" borderId="0" xfId="0" applyFont="1" applyProtection="1">
      <protection hidden="1"/>
    </xf>
    <xf numFmtId="0" fontId="15" fillId="12" borderId="0" xfId="0" applyFont="1" applyFill="1" applyAlignment="1" applyProtection="1">
      <alignment horizontal="center"/>
      <protection hidden="1"/>
    </xf>
    <xf numFmtId="2" fontId="14" fillId="13" borderId="0" xfId="0" applyNumberFormat="1" applyFont="1" applyFill="1" applyAlignment="1" applyProtection="1">
      <alignment horizontal="center"/>
      <protection hidden="1"/>
    </xf>
    <xf numFmtId="2" fontId="14" fillId="11" borderId="0" xfId="0" applyNumberFormat="1" applyFont="1" applyFill="1" applyAlignment="1" applyProtection="1">
      <alignment horizontal="right"/>
      <protection hidden="1"/>
    </xf>
    <xf numFmtId="0" fontId="14" fillId="14" borderId="0" xfId="0" applyFont="1" applyFill="1" applyAlignment="1" applyProtection="1">
      <alignment horizontal="right"/>
      <protection hidden="1"/>
    </xf>
    <xf numFmtId="0" fontId="14" fillId="3" borderId="0" xfId="0" applyFont="1" applyFill="1" applyAlignment="1" applyProtection="1">
      <alignment horizontal="right"/>
      <protection hidden="1"/>
    </xf>
    <xf numFmtId="0" fontId="13" fillId="0" borderId="0" xfId="0" applyFont="1" applyProtection="1">
      <protection hidden="1"/>
    </xf>
    <xf numFmtId="0" fontId="14" fillId="16" borderId="0" xfId="0" applyFont="1" applyFill="1" applyAlignment="1" applyProtection="1">
      <alignment horizontal="right"/>
      <protection hidden="1"/>
    </xf>
    <xf numFmtId="0" fontId="14" fillId="16" borderId="0" xfId="0" applyFont="1" applyFill="1" applyProtection="1">
      <protection hidden="1"/>
    </xf>
    <xf numFmtId="2" fontId="14" fillId="11" borderId="0" xfId="0" applyNumberFormat="1" applyFont="1" applyFill="1" applyProtection="1">
      <protection hidden="1"/>
    </xf>
    <xf numFmtId="2" fontId="14" fillId="14" borderId="0" xfId="0" applyNumberFormat="1" applyFont="1" applyFill="1" applyProtection="1">
      <protection hidden="1"/>
    </xf>
    <xf numFmtId="2" fontId="14" fillId="3" borderId="0" xfId="0" applyNumberFormat="1" applyFont="1" applyFill="1" applyProtection="1">
      <protection hidden="1"/>
    </xf>
    <xf numFmtId="2" fontId="14" fillId="8" borderId="0" xfId="0" applyNumberFormat="1" applyFont="1" applyFill="1" applyProtection="1">
      <protection hidden="1"/>
    </xf>
    <xf numFmtId="2" fontId="14" fillId="10" borderId="0" xfId="0" applyNumberFormat="1" applyFont="1" applyFill="1" applyProtection="1">
      <protection hidden="1"/>
    </xf>
    <xf numFmtId="0" fontId="14" fillId="0" borderId="0" xfId="0" applyFont="1" applyAlignment="1" applyProtection="1">
      <alignment horizontal="right"/>
      <protection hidden="1"/>
    </xf>
    <xf numFmtId="0" fontId="14" fillId="15" borderId="0" xfId="0" applyFont="1" applyFill="1" applyProtection="1">
      <protection hidden="1"/>
    </xf>
    <xf numFmtId="0" fontId="14" fillId="0" borderId="7" xfId="0" applyFont="1" applyBorder="1" applyAlignment="1" applyProtection="1">
      <alignment horizontal="right"/>
      <protection hidden="1"/>
    </xf>
    <xf numFmtId="0" fontId="14" fillId="15" borderId="7" xfId="0" applyFont="1" applyFill="1" applyBorder="1" applyProtection="1">
      <protection hidden="1"/>
    </xf>
    <xf numFmtId="2" fontId="14" fillId="14" borderId="7" xfId="0" applyNumberFormat="1" applyFont="1" applyFill="1" applyBorder="1" applyProtection="1">
      <protection hidden="1"/>
    </xf>
    <xf numFmtId="2" fontId="14" fillId="3" borderId="7" xfId="0" applyNumberFormat="1" applyFont="1" applyFill="1" applyBorder="1" applyProtection="1">
      <protection hidden="1"/>
    </xf>
    <xf numFmtId="0" fontId="13" fillId="0" borderId="7" xfId="0" applyFont="1" applyBorder="1" applyProtection="1">
      <protection hidden="1"/>
    </xf>
    <xf numFmtId="2" fontId="14" fillId="8" borderId="7" xfId="0" applyNumberFormat="1" applyFont="1" applyFill="1" applyBorder="1" applyProtection="1">
      <protection hidden="1"/>
    </xf>
    <xf numFmtId="2" fontId="14" fillId="10" borderId="7" xfId="0" applyNumberFormat="1" applyFont="1" applyFill="1" applyBorder="1" applyProtection="1">
      <protection hidden="1"/>
    </xf>
    <xf numFmtId="2" fontId="3" fillId="18" borderId="0" xfId="0" applyNumberFormat="1" applyFont="1" applyFill="1"/>
    <xf numFmtId="1" fontId="3" fillId="18" borderId="0" xfId="0" applyNumberFormat="1" applyFont="1" applyFill="1"/>
    <xf numFmtId="0" fontId="3" fillId="5" borderId="0" xfId="0" applyFont="1" applyFill="1"/>
    <xf numFmtId="2" fontId="13" fillId="12" borderId="0" xfId="0" applyNumberFormat="1" applyFont="1" applyFill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DB69"/>
      <color rgb="FFF5C46B"/>
      <color rgb="FFF7D3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102869</xdr:colOff>
      <xdr:row>14</xdr:row>
      <xdr:rowOff>14288</xdr:rowOff>
    </xdr:from>
    <xdr:to>
      <xdr:col>3</xdr:col>
      <xdr:colOff>523875</xdr:colOff>
      <xdr:row>15</xdr:row>
      <xdr:rowOff>128588</xdr:rowOff>
    </xdr:to>
    <xdr:cxnSp macro="">
      <xdr:nvCxnSpPr>
        <xdr:cNvPr id="28" name="Conector de seta reta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>
          <a:stCxn id="31" idx="3"/>
          <a:endCxn id="30" idx="1"/>
        </xdr:cNvCxnSpPr>
      </xdr:nvCxnSpPr>
      <xdr:spPr>
        <a:xfrm flipV="1">
          <a:off x="4236719" y="3357563"/>
          <a:ext cx="1392556" cy="352425"/>
        </a:xfrm>
        <a:prstGeom prst="straightConnector1">
          <a:avLst/>
        </a:prstGeom>
        <a:ln w="38100">
          <a:solidFill>
            <a:srgbClr val="FFC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95250</xdr:colOff>
      <xdr:row>16</xdr:row>
      <xdr:rowOff>142875</xdr:rowOff>
    </xdr:from>
    <xdr:to>
      <xdr:col>1</xdr:col>
      <xdr:colOff>504825</xdr:colOff>
      <xdr:row>16</xdr:row>
      <xdr:rowOff>144463</xdr:rowOff>
    </xdr:to>
    <xdr:cxnSp macro="">
      <xdr:nvCxnSpPr>
        <xdr:cNvPr id="3" name="Conector de seta re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048125" y="4105275"/>
          <a:ext cx="409575" cy="1588"/>
        </a:xfrm>
        <a:prstGeom prst="straightConnector1">
          <a:avLst/>
        </a:prstGeom>
        <a:ln>
          <a:solidFill>
            <a:schemeClr val="bg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104775</xdr:colOff>
      <xdr:row>17</xdr:row>
      <xdr:rowOff>123825</xdr:rowOff>
    </xdr:from>
    <xdr:to>
      <xdr:col>1</xdr:col>
      <xdr:colOff>514350</xdr:colOff>
      <xdr:row>17</xdr:row>
      <xdr:rowOff>125413</xdr:rowOff>
    </xdr:to>
    <xdr:cxnSp macro="">
      <xdr:nvCxnSpPr>
        <xdr:cNvPr id="5" name="Conector de seta reta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057650" y="3438525"/>
          <a:ext cx="409575" cy="1588"/>
        </a:xfrm>
        <a:prstGeom prst="straightConnector1">
          <a:avLst/>
        </a:prstGeom>
        <a:ln>
          <a:solidFill>
            <a:schemeClr val="bg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104775</xdr:colOff>
      <xdr:row>19</xdr:row>
      <xdr:rowOff>95250</xdr:rowOff>
    </xdr:from>
    <xdr:to>
      <xdr:col>1</xdr:col>
      <xdr:colOff>514350</xdr:colOff>
      <xdr:row>19</xdr:row>
      <xdr:rowOff>96838</xdr:rowOff>
    </xdr:to>
    <xdr:cxnSp macro="">
      <xdr:nvCxnSpPr>
        <xdr:cNvPr id="6" name="Conector de seta re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4057650" y="3648075"/>
          <a:ext cx="409575" cy="1588"/>
        </a:xfrm>
        <a:prstGeom prst="straightConnector1">
          <a:avLst/>
        </a:prstGeom>
        <a:ln>
          <a:solidFill>
            <a:schemeClr val="bg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104775</xdr:colOff>
      <xdr:row>18</xdr:row>
      <xdr:rowOff>95250</xdr:rowOff>
    </xdr:from>
    <xdr:to>
      <xdr:col>1</xdr:col>
      <xdr:colOff>514350</xdr:colOff>
      <xdr:row>18</xdr:row>
      <xdr:rowOff>96838</xdr:rowOff>
    </xdr:to>
    <xdr:cxnSp macro="">
      <xdr:nvCxnSpPr>
        <xdr:cNvPr id="12" name="Conector de seta reta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4057650" y="5010150"/>
          <a:ext cx="409575" cy="1588"/>
        </a:xfrm>
        <a:prstGeom prst="straightConnector1">
          <a:avLst/>
        </a:prstGeom>
        <a:ln>
          <a:solidFill>
            <a:schemeClr val="bg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295275</xdr:colOff>
      <xdr:row>6</xdr:row>
      <xdr:rowOff>142875</xdr:rowOff>
    </xdr:from>
    <xdr:to>
      <xdr:col>8</xdr:col>
      <xdr:colOff>95250</xdr:colOff>
      <xdr:row>6</xdr:row>
      <xdr:rowOff>144463</xdr:rowOff>
    </xdr:to>
    <xdr:cxnSp macro="">
      <xdr:nvCxnSpPr>
        <xdr:cNvPr id="8" name="Conector de seta ret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7067550" y="3057525"/>
          <a:ext cx="409575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304800</xdr:colOff>
      <xdr:row>7</xdr:row>
      <xdr:rowOff>133350</xdr:rowOff>
    </xdr:from>
    <xdr:to>
      <xdr:col>8</xdr:col>
      <xdr:colOff>104775</xdr:colOff>
      <xdr:row>7</xdr:row>
      <xdr:rowOff>134938</xdr:rowOff>
    </xdr:to>
    <xdr:cxnSp macro="">
      <xdr:nvCxnSpPr>
        <xdr:cNvPr id="9" name="Conector de seta reta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7077075" y="3286125"/>
          <a:ext cx="409575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295275</xdr:colOff>
      <xdr:row>8</xdr:row>
      <xdr:rowOff>133350</xdr:rowOff>
    </xdr:from>
    <xdr:to>
      <xdr:col>8</xdr:col>
      <xdr:colOff>95250</xdr:colOff>
      <xdr:row>8</xdr:row>
      <xdr:rowOff>134938</xdr:rowOff>
    </xdr:to>
    <xdr:cxnSp macro="">
      <xdr:nvCxnSpPr>
        <xdr:cNvPr id="11" name="Conector de seta reta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7353300" y="3048000"/>
          <a:ext cx="409575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304800</xdr:colOff>
      <xdr:row>9</xdr:row>
      <xdr:rowOff>142875</xdr:rowOff>
    </xdr:from>
    <xdr:to>
      <xdr:col>8</xdr:col>
      <xdr:colOff>104775</xdr:colOff>
      <xdr:row>9</xdr:row>
      <xdr:rowOff>144463</xdr:rowOff>
    </xdr:to>
    <xdr:cxnSp macro="">
      <xdr:nvCxnSpPr>
        <xdr:cNvPr id="13" name="Conector de seta reta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7362825" y="3295650"/>
          <a:ext cx="409575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295275</xdr:colOff>
      <xdr:row>10</xdr:row>
      <xdr:rowOff>152400</xdr:rowOff>
    </xdr:from>
    <xdr:to>
      <xdr:col>8</xdr:col>
      <xdr:colOff>95250</xdr:colOff>
      <xdr:row>10</xdr:row>
      <xdr:rowOff>153988</xdr:rowOff>
    </xdr:to>
    <xdr:cxnSp macro="">
      <xdr:nvCxnSpPr>
        <xdr:cNvPr id="15" name="Conector de seta reta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7353300" y="3543300"/>
          <a:ext cx="409575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304800</xdr:colOff>
      <xdr:row>11</xdr:row>
      <xdr:rowOff>152400</xdr:rowOff>
    </xdr:from>
    <xdr:to>
      <xdr:col>8</xdr:col>
      <xdr:colOff>104775</xdr:colOff>
      <xdr:row>11</xdr:row>
      <xdr:rowOff>153988</xdr:rowOff>
    </xdr:to>
    <xdr:cxnSp macro="">
      <xdr:nvCxnSpPr>
        <xdr:cNvPr id="16" name="Conector de seta reta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7362825" y="3781425"/>
          <a:ext cx="409575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304800</xdr:colOff>
      <xdr:row>12</xdr:row>
      <xdr:rowOff>142875</xdr:rowOff>
    </xdr:from>
    <xdr:to>
      <xdr:col>8</xdr:col>
      <xdr:colOff>104775</xdr:colOff>
      <xdr:row>12</xdr:row>
      <xdr:rowOff>144463</xdr:rowOff>
    </xdr:to>
    <xdr:cxnSp macro="">
      <xdr:nvCxnSpPr>
        <xdr:cNvPr id="17" name="Conector de seta reta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7362825" y="4010025"/>
          <a:ext cx="409575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295275</xdr:colOff>
      <xdr:row>13</xdr:row>
      <xdr:rowOff>123825</xdr:rowOff>
    </xdr:from>
    <xdr:to>
      <xdr:col>8</xdr:col>
      <xdr:colOff>95250</xdr:colOff>
      <xdr:row>13</xdr:row>
      <xdr:rowOff>125413</xdr:rowOff>
    </xdr:to>
    <xdr:cxnSp macro="">
      <xdr:nvCxnSpPr>
        <xdr:cNvPr id="19" name="Conector de seta reta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7534275" y="3695700"/>
          <a:ext cx="409575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295275</xdr:colOff>
      <xdr:row>14</xdr:row>
      <xdr:rowOff>123825</xdr:rowOff>
    </xdr:from>
    <xdr:to>
      <xdr:col>8</xdr:col>
      <xdr:colOff>95250</xdr:colOff>
      <xdr:row>14</xdr:row>
      <xdr:rowOff>125413</xdr:rowOff>
    </xdr:to>
    <xdr:cxnSp macro="">
      <xdr:nvCxnSpPr>
        <xdr:cNvPr id="20" name="Conector de seta reta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7534275" y="3695700"/>
          <a:ext cx="409575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295275</xdr:colOff>
      <xdr:row>14</xdr:row>
      <xdr:rowOff>123825</xdr:rowOff>
    </xdr:from>
    <xdr:to>
      <xdr:col>8</xdr:col>
      <xdr:colOff>95250</xdr:colOff>
      <xdr:row>14</xdr:row>
      <xdr:rowOff>125413</xdr:rowOff>
    </xdr:to>
    <xdr:cxnSp macro="">
      <xdr:nvCxnSpPr>
        <xdr:cNvPr id="21" name="Conector de seta reta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7534275" y="3695700"/>
          <a:ext cx="409575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66675</xdr:colOff>
      <xdr:row>13</xdr:row>
      <xdr:rowOff>9525</xdr:rowOff>
    </xdr:from>
    <xdr:to>
      <xdr:col>2</xdr:col>
      <xdr:colOff>112394</xdr:colOff>
      <xdr:row>15</xdr:row>
      <xdr:rowOff>0</xdr:rowOff>
    </xdr:to>
    <xdr:sp macro="" textlink="">
      <xdr:nvSpPr>
        <xdr:cNvPr id="23" name="Retângul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4200525" y="3114675"/>
          <a:ext cx="45719" cy="466725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2</xdr:col>
      <xdr:colOff>112394</xdr:colOff>
      <xdr:row>11</xdr:row>
      <xdr:rowOff>142875</xdr:rowOff>
    </xdr:from>
    <xdr:to>
      <xdr:col>3</xdr:col>
      <xdr:colOff>504825</xdr:colOff>
      <xdr:row>14</xdr:row>
      <xdr:rowOff>4763</xdr:rowOff>
    </xdr:to>
    <xdr:cxnSp macro="">
      <xdr:nvCxnSpPr>
        <xdr:cNvPr id="25" name="Conector de seta reta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>
          <a:stCxn id="23" idx="3"/>
        </xdr:cNvCxnSpPr>
      </xdr:nvCxnSpPr>
      <xdr:spPr>
        <a:xfrm flipV="1">
          <a:off x="4246244" y="2771775"/>
          <a:ext cx="1363981" cy="576263"/>
        </a:xfrm>
        <a:prstGeom prst="straightConnector1">
          <a:avLst/>
        </a:prstGeom>
        <a:ln w="38100">
          <a:solidFill>
            <a:schemeClr val="accent2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523875</xdr:colOff>
      <xdr:row>10</xdr:row>
      <xdr:rowOff>19050</xdr:rowOff>
    </xdr:from>
    <xdr:to>
      <xdr:col>3</xdr:col>
      <xdr:colOff>569594</xdr:colOff>
      <xdr:row>13</xdr:row>
      <xdr:rowOff>0</xdr:rowOff>
    </xdr:to>
    <xdr:sp macro="" textlink="">
      <xdr:nvSpPr>
        <xdr:cNvPr id="26" name="Retângulo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629275" y="2409825"/>
          <a:ext cx="45719" cy="695325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3</xdr:col>
      <xdr:colOff>523875</xdr:colOff>
      <xdr:row>13</xdr:row>
      <xdr:rowOff>19050</xdr:rowOff>
    </xdr:from>
    <xdr:to>
      <xdr:col>3</xdr:col>
      <xdr:colOff>569594</xdr:colOff>
      <xdr:row>15</xdr:row>
      <xdr:rowOff>9525</xdr:rowOff>
    </xdr:to>
    <xdr:sp macro="" textlink="">
      <xdr:nvSpPr>
        <xdr:cNvPr id="30" name="Retângul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5629275" y="3124200"/>
          <a:ext cx="45719" cy="466725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2</xdr:col>
      <xdr:colOff>57150</xdr:colOff>
      <xdr:row>15</xdr:row>
      <xdr:rowOff>9525</xdr:rowOff>
    </xdr:from>
    <xdr:to>
      <xdr:col>2</xdr:col>
      <xdr:colOff>102869</xdr:colOff>
      <xdr:row>16</xdr:row>
      <xdr:rowOff>0</xdr:rowOff>
    </xdr:to>
    <xdr:sp macro="" textlink="">
      <xdr:nvSpPr>
        <xdr:cNvPr id="31" name="Retângulo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4191000" y="3590925"/>
          <a:ext cx="45719" cy="238125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904875</xdr:colOff>
      <xdr:row>29</xdr:row>
      <xdr:rowOff>0</xdr:rowOff>
    </xdr:from>
    <xdr:to>
      <xdr:col>0</xdr:col>
      <xdr:colOff>1447800</xdr:colOff>
      <xdr:row>31</xdr:row>
      <xdr:rowOff>95250</xdr:rowOff>
    </xdr:to>
    <xdr:sp macro="" textlink="">
      <xdr:nvSpPr>
        <xdr:cNvPr id="24" name="Cruz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04875" y="6534150"/>
          <a:ext cx="542925" cy="495300"/>
        </a:xfrm>
        <a:prstGeom prst="plus">
          <a:avLst>
            <a:gd name="adj" fmla="val 3846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933450</xdr:colOff>
      <xdr:row>33</xdr:row>
      <xdr:rowOff>180975</xdr:rowOff>
    </xdr:from>
    <xdr:to>
      <xdr:col>0</xdr:col>
      <xdr:colOff>1409700</xdr:colOff>
      <xdr:row>34</xdr:row>
      <xdr:rowOff>123825</xdr:rowOff>
    </xdr:to>
    <xdr:sp macro="" textlink="">
      <xdr:nvSpPr>
        <xdr:cNvPr id="27" name="Retângulo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933450" y="7515225"/>
          <a:ext cx="476250" cy="1428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J38"/>
  <sheetViews>
    <sheetView showGridLines="0" tabSelected="1" zoomScale="89" zoomScaleNormal="89" workbookViewId="0">
      <selection activeCell="C17" sqref="C17"/>
    </sheetView>
  </sheetViews>
  <sheetFormatPr defaultRowHeight="15" x14ac:dyDescent="0.25"/>
  <cols>
    <col min="1" max="1" width="50.140625" style="4" customWidth="1"/>
    <col min="2" max="2" width="11.85546875" style="4" customWidth="1"/>
    <col min="3" max="3" width="14.5703125" style="4" customWidth="1"/>
    <col min="4" max="4" width="9.140625" style="4" customWidth="1"/>
    <col min="5" max="5" width="11" style="4" customWidth="1"/>
    <col min="6" max="6" width="10.7109375" style="4" bestFit="1" customWidth="1"/>
    <col min="7" max="7" width="9.140625" style="4"/>
    <col min="8" max="8" width="11.85546875" style="4" customWidth="1"/>
    <col min="9" max="10" width="19.85546875" style="4" customWidth="1"/>
    <col min="11" max="16384" width="9.140625" style="4"/>
  </cols>
  <sheetData>
    <row r="1" spans="1:10" ht="33.75" x14ac:dyDescent="0.5">
      <c r="A1" s="1" t="s">
        <v>55</v>
      </c>
      <c r="B1" s="2"/>
      <c r="C1" s="2"/>
      <c r="D1" s="2"/>
      <c r="E1" s="3" t="s">
        <v>36</v>
      </c>
      <c r="F1" s="2"/>
      <c r="G1" s="2"/>
      <c r="H1" s="2"/>
      <c r="I1" s="2"/>
    </row>
    <row r="2" spans="1:10" ht="19.5" thickBot="1" x14ac:dyDescent="0.35">
      <c r="A2" s="2"/>
      <c r="B2" s="5" t="s">
        <v>34</v>
      </c>
      <c r="C2" s="2"/>
      <c r="D2" s="2"/>
      <c r="E2" s="6" t="s">
        <v>32</v>
      </c>
      <c r="F2" s="2"/>
      <c r="G2" s="2"/>
      <c r="H2" s="2"/>
      <c r="I2" s="2"/>
    </row>
    <row r="3" spans="1:10" ht="18.75" x14ac:dyDescent="0.3">
      <c r="A3" s="7" t="s">
        <v>2</v>
      </c>
      <c r="B3" s="8">
        <v>0</v>
      </c>
      <c r="C3" s="9" t="e">
        <f>((B3*60)*(B4/10000))/B5</f>
        <v>#DIV/0!</v>
      </c>
      <c r="D3" s="2"/>
      <c r="E3" s="10" t="s">
        <v>33</v>
      </c>
      <c r="F3" s="2"/>
      <c r="G3" s="2"/>
      <c r="H3" s="2"/>
      <c r="I3" s="2"/>
    </row>
    <row r="4" spans="1:10" ht="18.75" x14ac:dyDescent="0.3">
      <c r="A4" s="7" t="s">
        <v>3</v>
      </c>
      <c r="B4" s="11">
        <v>0</v>
      </c>
      <c r="C4" s="9"/>
      <c r="D4" s="2"/>
      <c r="E4" s="2" t="s">
        <v>56</v>
      </c>
      <c r="F4" s="2"/>
      <c r="G4" s="2"/>
      <c r="H4" s="2"/>
      <c r="I4" s="2"/>
    </row>
    <row r="5" spans="1:10" ht="18.75" x14ac:dyDescent="0.3">
      <c r="A5" s="7" t="s">
        <v>21</v>
      </c>
      <c r="B5" s="11">
        <v>0</v>
      </c>
      <c r="C5" s="9">
        <v>1</v>
      </c>
      <c r="D5" s="2"/>
      <c r="E5" s="2"/>
      <c r="F5" s="2"/>
      <c r="G5" s="2"/>
      <c r="H5" s="2"/>
      <c r="I5" s="2"/>
    </row>
    <row r="6" spans="1:10" ht="18.75" x14ac:dyDescent="0.3">
      <c r="A6" s="7" t="s">
        <v>13</v>
      </c>
      <c r="B6" s="11">
        <v>0</v>
      </c>
      <c r="C6" s="9" t="e">
        <f>1/(((B6*1609)/3600)*B8)</f>
        <v>#DIV/0!</v>
      </c>
      <c r="D6" s="2"/>
      <c r="E6" s="12" t="s">
        <v>29</v>
      </c>
      <c r="F6" s="2"/>
      <c r="G6" s="2"/>
      <c r="H6" s="2"/>
      <c r="I6" s="2"/>
      <c r="J6" s="73" t="s">
        <v>58</v>
      </c>
    </row>
    <row r="7" spans="1:10" ht="18.75" x14ac:dyDescent="0.3">
      <c r="A7" s="7" t="s">
        <v>14</v>
      </c>
      <c r="B7" s="11">
        <v>0</v>
      </c>
      <c r="C7" s="9"/>
      <c r="D7" s="2"/>
      <c r="E7" s="13" t="s">
        <v>19</v>
      </c>
      <c r="F7" s="13"/>
      <c r="G7" s="13"/>
      <c r="H7" s="13"/>
      <c r="I7" s="14">
        <f>B6*B8/373</f>
        <v>0</v>
      </c>
      <c r="J7" s="71">
        <f ca="1">$C$17/60</f>
        <v>0</v>
      </c>
    </row>
    <row r="8" spans="1:10" ht="18.75" x14ac:dyDescent="0.3">
      <c r="A8" s="7" t="s">
        <v>4</v>
      </c>
      <c r="B8" s="11">
        <v>0</v>
      </c>
      <c r="C8" s="9"/>
      <c r="D8" s="2"/>
      <c r="E8" s="13" t="s">
        <v>20</v>
      </c>
      <c r="F8" s="13"/>
      <c r="G8" s="13"/>
      <c r="H8" s="13"/>
      <c r="I8" s="14">
        <f>I7*60</f>
        <v>0</v>
      </c>
      <c r="J8" s="72">
        <f ca="1">$C$17</f>
        <v>0</v>
      </c>
    </row>
    <row r="9" spans="1:10" ht="18.75" x14ac:dyDescent="0.3">
      <c r="A9" s="7" t="s">
        <v>15</v>
      </c>
      <c r="B9" s="11">
        <v>0</v>
      </c>
      <c r="C9" s="9"/>
      <c r="D9" s="2"/>
      <c r="E9" s="13" t="s">
        <v>22</v>
      </c>
      <c r="F9" s="13"/>
      <c r="G9" s="13"/>
      <c r="H9" s="13"/>
      <c r="I9" s="14">
        <f>IF(AND(B4&gt;0,B5&gt;0),B5/B4,0)</f>
        <v>0</v>
      </c>
    </row>
    <row r="10" spans="1:10" ht="18.75" x14ac:dyDescent="0.3">
      <c r="A10" s="7" t="s">
        <v>5</v>
      </c>
      <c r="B10" s="11">
        <v>0</v>
      </c>
      <c r="C10" s="9" t="e">
        <f>$B$9/(B8*$B$10)</f>
        <v>#DIV/0!</v>
      </c>
      <c r="D10" s="2"/>
      <c r="E10" s="13" t="s">
        <v>23</v>
      </c>
      <c r="F10" s="13"/>
      <c r="G10" s="13"/>
      <c r="H10" s="13"/>
      <c r="I10" s="14">
        <f>IF(AND(B4&gt;0,B5&gt;0),B12/I9,0)</f>
        <v>0</v>
      </c>
    </row>
    <row r="11" spans="1:10" ht="18.75" x14ac:dyDescent="0.3">
      <c r="A11" s="7" t="s">
        <v>10</v>
      </c>
      <c r="B11" s="11">
        <v>0</v>
      </c>
      <c r="C11" s="9" t="e">
        <f>(2*(B4/10000)*(B11*1000))/(((B7*1609)/3600)*B5)</f>
        <v>#DIV/0!</v>
      </c>
      <c r="D11" s="2"/>
      <c r="E11" s="15" t="s">
        <v>24</v>
      </c>
      <c r="F11" s="15"/>
      <c r="G11" s="15"/>
      <c r="H11" s="15"/>
      <c r="I11" s="16">
        <f>B14*B12</f>
        <v>0</v>
      </c>
    </row>
    <row r="12" spans="1:10" ht="18.75" x14ac:dyDescent="0.3">
      <c r="A12" s="7" t="s">
        <v>0</v>
      </c>
      <c r="B12" s="11">
        <v>0</v>
      </c>
      <c r="C12" s="2"/>
      <c r="D12" s="2"/>
      <c r="E12" s="15" t="s">
        <v>25</v>
      </c>
      <c r="F12" s="15"/>
      <c r="G12" s="15"/>
      <c r="H12" s="15"/>
      <c r="I12" s="17">
        <f>IF(B14&gt;0,IF(B15=0,(B4-B14)*B12,(B4-B14-B15)*B12),0)</f>
        <v>0</v>
      </c>
    </row>
    <row r="13" spans="1:10" ht="18.75" x14ac:dyDescent="0.3">
      <c r="A13" s="7" t="s">
        <v>16</v>
      </c>
      <c r="B13" s="11">
        <v>0</v>
      </c>
      <c r="C13" s="2"/>
      <c r="D13" s="2"/>
      <c r="E13" s="15" t="s">
        <v>26</v>
      </c>
      <c r="F13" s="15"/>
      <c r="G13" s="15"/>
      <c r="H13" s="15"/>
      <c r="I13" s="17">
        <f>IF(B15&gt;0,B15*B12,0)</f>
        <v>0</v>
      </c>
    </row>
    <row r="14" spans="1:10" ht="18.75" x14ac:dyDescent="0.3">
      <c r="A14" s="18" t="s">
        <v>27</v>
      </c>
      <c r="B14" s="11">
        <v>0</v>
      </c>
      <c r="C14" s="2"/>
      <c r="D14" s="2"/>
      <c r="E14" s="19" t="s">
        <v>30</v>
      </c>
      <c r="F14" s="19"/>
      <c r="G14" s="19"/>
      <c r="H14" s="19"/>
      <c r="I14" s="20">
        <f ca="1">IF(AND(B16&gt;0,B12&gt;0,C17&gt;0),B16*(B12/C17)/B12,0)</f>
        <v>0</v>
      </c>
    </row>
    <row r="15" spans="1:10" ht="18.75" x14ac:dyDescent="0.3">
      <c r="A15" s="18" t="s">
        <v>28</v>
      </c>
      <c r="B15" s="11">
        <v>0</v>
      </c>
      <c r="C15" s="2"/>
      <c r="D15" s="2"/>
      <c r="E15" s="19" t="s">
        <v>31</v>
      </c>
      <c r="F15" s="19"/>
      <c r="G15" s="19"/>
      <c r="H15" s="19"/>
      <c r="I15" s="20">
        <f ca="1">IF(AND(B16&gt;0,B12&gt;0,C17&gt;0),B16*(B12/C17),0)</f>
        <v>0</v>
      </c>
    </row>
    <row r="16" spans="1:10" ht="19.5" thickBot="1" x14ac:dyDescent="0.35">
      <c r="A16" s="21" t="s">
        <v>35</v>
      </c>
      <c r="B16" s="22">
        <v>0</v>
      </c>
      <c r="C16" s="23">
        <v>44743</v>
      </c>
      <c r="D16" s="2"/>
      <c r="E16" s="2"/>
      <c r="F16" s="2"/>
      <c r="G16" s="2"/>
      <c r="H16" s="2"/>
      <c r="I16" s="2"/>
    </row>
    <row r="17" spans="1:9" ht="18.75" x14ac:dyDescent="0.3">
      <c r="A17" s="24" t="s">
        <v>6</v>
      </c>
      <c r="B17" s="25"/>
      <c r="C17" s="26">
        <f ca="1">IF(AND(TODAY()&lt;$C$16,B5&gt;0,B4&gt;0,B6&gt;0,B7&gt;0,B8&gt;0,B10&gt;0,B12&gt;0),3600/(10000*(C3+C6+C10+C11)),0)</f>
        <v>0</v>
      </c>
      <c r="D17" s="27" t="s">
        <v>11</v>
      </c>
      <c r="E17" s="2"/>
      <c r="F17" s="2"/>
      <c r="G17" s="2"/>
      <c r="H17" s="2"/>
      <c r="I17" s="2"/>
    </row>
    <row r="18" spans="1:9" ht="18.75" x14ac:dyDescent="0.3">
      <c r="A18" s="28" t="s">
        <v>7</v>
      </c>
      <c r="B18" s="25"/>
      <c r="C18" s="29">
        <f ca="1">IF(AND(TODAY()&lt;$C$16,B4&gt;0,B5&gt;0,B6&gt;0,B7&gt;0,B8&gt;0,B10&gt;0,B12&gt;0),INT(B12/C17),0)</f>
        <v>0</v>
      </c>
      <c r="D18" s="30" t="s">
        <v>9</v>
      </c>
      <c r="E18" s="29">
        <f ca="1">IF(AND(TODAY()&lt;$C$16,B4&gt;0,B5&gt;0,B6&gt;0,B7&gt;0,B8&gt;0,B10&gt;0,B12&gt;0),INT((INT(((B12/C17)-INT(B12/C17))*100))*60/100),0)</f>
        <v>0</v>
      </c>
      <c r="F18" s="31" t="s">
        <v>8</v>
      </c>
      <c r="G18" s="2"/>
      <c r="H18" s="32"/>
      <c r="I18" s="2"/>
    </row>
    <row r="19" spans="1:9" ht="18.75" x14ac:dyDescent="0.3">
      <c r="A19" s="33" t="s">
        <v>1</v>
      </c>
      <c r="B19" s="34"/>
      <c r="C19" s="35">
        <f ca="1">IF(AND(TODAY()&lt;$C$16,B4&gt;0,B5&gt;0,B6&gt;0,B7&gt;0,B8&gt;0,B10&gt;0,B12&gt;0),(B12*10000)/(36*B8*((B6*1609)/3600)*(B12/C17)),0)</f>
        <v>0</v>
      </c>
      <c r="D19" s="36" t="s">
        <v>12</v>
      </c>
      <c r="E19" s="37"/>
      <c r="F19" s="38"/>
      <c r="G19" s="2"/>
      <c r="H19" s="2" t="str">
        <f ca="1">IF(TODAY()&lt;C16," "," Problemas na execução ")</f>
        <v xml:space="preserve"> </v>
      </c>
      <c r="I19" s="2"/>
    </row>
    <row r="20" spans="1:9" ht="18.75" x14ac:dyDescent="0.3">
      <c r="A20" s="33" t="s">
        <v>17</v>
      </c>
      <c r="B20" s="34"/>
      <c r="C20" s="39">
        <f ca="1">IF(AND(TODAY()&lt;$C$16,B4&gt;0,B5&gt;0,B6&gt;0,B7&gt;0,B8&gt;0,B10&gt;0,B12&gt;0),B13*(B12/C17),0)</f>
        <v>0</v>
      </c>
      <c r="D20" s="40" t="s">
        <v>18</v>
      </c>
      <c r="E20" s="37"/>
      <c r="F20" s="38"/>
      <c r="G20" s="2" t="str">
        <f ca="1">IF(TODAY()&lt;C16," ","                 Contate e-mail acima")</f>
        <v xml:space="preserve"> </v>
      </c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41"/>
      <c r="H22" s="2"/>
      <c r="I22" s="2"/>
    </row>
    <row r="23" spans="1:9" ht="21" x14ac:dyDescent="0.35">
      <c r="A23" s="42" t="s">
        <v>57</v>
      </c>
      <c r="B23" s="3"/>
      <c r="C23" s="3"/>
      <c r="D23" s="43"/>
      <c r="E23" s="44"/>
      <c r="F23" s="2"/>
      <c r="G23" s="2"/>
      <c r="H23" s="2"/>
      <c r="I23" s="2"/>
    </row>
    <row r="24" spans="1:9" x14ac:dyDescent="0.25">
      <c r="A24" s="2"/>
      <c r="B24" s="2"/>
      <c r="C24" s="2"/>
      <c r="D24" s="44"/>
      <c r="E24" s="44"/>
      <c r="F24" s="2"/>
      <c r="G24" s="2"/>
      <c r="H24" s="2"/>
      <c r="I24" s="2"/>
    </row>
    <row r="25" spans="1:9" x14ac:dyDescent="0.25">
      <c r="A25" s="2"/>
      <c r="B25" s="2"/>
      <c r="C25" s="2"/>
      <c r="D25" s="44"/>
      <c r="E25" s="44"/>
      <c r="F25" s="2"/>
      <c r="G25" s="2"/>
      <c r="H25" s="2"/>
      <c r="I25" s="2"/>
    </row>
    <row r="26" spans="1:9" ht="15.75" x14ac:dyDescent="0.25">
      <c r="A26" s="45" t="s">
        <v>37</v>
      </c>
      <c r="B26" s="46">
        <f>B4</f>
        <v>0</v>
      </c>
      <c r="C26" s="47"/>
      <c r="D26" s="74" t="s">
        <v>51</v>
      </c>
      <c r="E26" s="74"/>
      <c r="F26" s="74"/>
      <c r="G26" s="48"/>
      <c r="H26" s="49" t="s">
        <v>52</v>
      </c>
      <c r="I26" s="48"/>
    </row>
    <row r="27" spans="1:9" ht="15.75" x14ac:dyDescent="0.25">
      <c r="A27" s="45" t="s">
        <v>38</v>
      </c>
      <c r="B27" s="46">
        <f>B6</f>
        <v>0</v>
      </c>
      <c r="C27" s="50" t="s">
        <v>39</v>
      </c>
      <c r="D27" s="51" t="s">
        <v>40</v>
      </c>
      <c r="E27" s="52" t="s">
        <v>41</v>
      </c>
      <c r="F27" s="53" t="s">
        <v>42</v>
      </c>
      <c r="G27" s="54"/>
      <c r="H27" s="49" t="s">
        <v>50</v>
      </c>
      <c r="I27" s="49" t="s">
        <v>30</v>
      </c>
    </row>
    <row r="28" spans="1:9" ht="15.75" x14ac:dyDescent="0.25">
      <c r="A28" s="55" t="s">
        <v>53</v>
      </c>
      <c r="B28" s="56">
        <f>B8</f>
        <v>0</v>
      </c>
      <c r="C28" s="50">
        <f ca="1">($B$27*B28/373)*($C$19/100)</f>
        <v>0</v>
      </c>
      <c r="D28" s="57">
        <f ca="1">$B$26*C28</f>
        <v>0</v>
      </c>
      <c r="E28" s="58">
        <f t="shared" ref="E28:E36" ca="1" si="0">D28/2</f>
        <v>0</v>
      </c>
      <c r="F28" s="59">
        <f t="shared" ref="F28:F36" ca="1" si="1">D28/4</f>
        <v>0</v>
      </c>
      <c r="G28" s="54" t="e">
        <f t="shared" ref="G28:G36" si="2">$B$9/(B28*$B$10)</f>
        <v>#DIV/0!</v>
      </c>
      <c r="H28" s="60">
        <f t="shared" ref="H28:H36" ca="1" si="3">IF(AND(TODAY()&lt;$C$16,$B$5&gt;0,$B$4&gt;0,$B$6&gt;0,$B$7&gt;0,$B$8&gt;0,$B$10&gt;0,$B$12&gt;0),3600/(10000*($C$3+$C$6+G28+$C$11)),0)</f>
        <v>0</v>
      </c>
      <c r="I28" s="61">
        <f t="shared" ref="I28:I36" ca="1" si="4">IF(AND($B$16&gt;0,$B$12&gt;0,H28&gt;0),$B$16*($B$12/H28)/$B$12,0)</f>
        <v>0</v>
      </c>
    </row>
    <row r="29" spans="1:9" ht="15.75" x14ac:dyDescent="0.25">
      <c r="A29" s="62" t="s">
        <v>43</v>
      </c>
      <c r="B29" s="63">
        <f>$B$28+1</f>
        <v>1</v>
      </c>
      <c r="C29" s="50">
        <f t="shared" ref="C29:C36" ca="1" si="5">($B$27*B29/373)*($C$19/100)</f>
        <v>0</v>
      </c>
      <c r="D29" s="57">
        <f t="shared" ref="D29:D36" ca="1" si="6">$B$26*C29</f>
        <v>0</v>
      </c>
      <c r="E29" s="58">
        <f t="shared" ca="1" si="0"/>
        <v>0</v>
      </c>
      <c r="F29" s="59">
        <f t="shared" ca="1" si="1"/>
        <v>0</v>
      </c>
      <c r="G29" s="54" t="e">
        <f t="shared" si="2"/>
        <v>#DIV/0!</v>
      </c>
      <c r="H29" s="60">
        <f t="shared" ca="1" si="3"/>
        <v>0</v>
      </c>
      <c r="I29" s="61">
        <f t="shared" ca="1" si="4"/>
        <v>0</v>
      </c>
    </row>
    <row r="30" spans="1:9" ht="15.75" x14ac:dyDescent="0.25">
      <c r="A30" s="62" t="s">
        <v>44</v>
      </c>
      <c r="B30" s="63">
        <f>$B$28+2</f>
        <v>2</v>
      </c>
      <c r="C30" s="50">
        <f t="shared" ca="1" si="5"/>
        <v>0</v>
      </c>
      <c r="D30" s="57">
        <f t="shared" ca="1" si="6"/>
        <v>0</v>
      </c>
      <c r="E30" s="58">
        <f t="shared" ca="1" si="0"/>
        <v>0</v>
      </c>
      <c r="F30" s="59">
        <f t="shared" ca="1" si="1"/>
        <v>0</v>
      </c>
      <c r="G30" s="54" t="e">
        <f t="shared" si="2"/>
        <v>#DIV/0!</v>
      </c>
      <c r="H30" s="60">
        <f t="shared" ca="1" si="3"/>
        <v>0</v>
      </c>
      <c r="I30" s="61">
        <f t="shared" ca="1" si="4"/>
        <v>0</v>
      </c>
    </row>
    <row r="31" spans="1:9" ht="15.75" x14ac:dyDescent="0.25">
      <c r="A31" s="62" t="s">
        <v>45</v>
      </c>
      <c r="B31" s="63">
        <f>$B$28+3</f>
        <v>3</v>
      </c>
      <c r="C31" s="50">
        <f t="shared" ca="1" si="5"/>
        <v>0</v>
      </c>
      <c r="D31" s="57">
        <f t="shared" ca="1" si="6"/>
        <v>0</v>
      </c>
      <c r="E31" s="58">
        <f t="shared" ca="1" si="0"/>
        <v>0</v>
      </c>
      <c r="F31" s="59">
        <f t="shared" ca="1" si="1"/>
        <v>0</v>
      </c>
      <c r="G31" s="54" t="e">
        <f t="shared" si="2"/>
        <v>#DIV/0!</v>
      </c>
      <c r="H31" s="60">
        <f t="shared" ca="1" si="3"/>
        <v>0</v>
      </c>
      <c r="I31" s="61">
        <f t="shared" ca="1" si="4"/>
        <v>0</v>
      </c>
    </row>
    <row r="32" spans="1:9" ht="15.75" x14ac:dyDescent="0.25">
      <c r="A32" s="64" t="s">
        <v>46</v>
      </c>
      <c r="B32" s="65">
        <f>$B$28+4</f>
        <v>4</v>
      </c>
      <c r="C32" s="50">
        <f t="shared" ca="1" si="5"/>
        <v>0</v>
      </c>
      <c r="D32" s="57">
        <f t="shared" ca="1" si="6"/>
        <v>0</v>
      </c>
      <c r="E32" s="66">
        <f t="shared" ca="1" si="0"/>
        <v>0</v>
      </c>
      <c r="F32" s="67">
        <f t="shared" ca="1" si="1"/>
        <v>0</v>
      </c>
      <c r="G32" s="68" t="e">
        <f t="shared" si="2"/>
        <v>#DIV/0!</v>
      </c>
      <c r="H32" s="69">
        <f t="shared" ca="1" si="3"/>
        <v>0</v>
      </c>
      <c r="I32" s="70">
        <f t="shared" ca="1" si="4"/>
        <v>0</v>
      </c>
    </row>
    <row r="33" spans="1:9" ht="15.75" x14ac:dyDescent="0.25">
      <c r="A33" s="62" t="s">
        <v>47</v>
      </c>
      <c r="B33" s="63">
        <f>$B$28-1</f>
        <v>-1</v>
      </c>
      <c r="C33" s="50">
        <f t="shared" ca="1" si="5"/>
        <v>0</v>
      </c>
      <c r="D33" s="57">
        <f t="shared" ca="1" si="6"/>
        <v>0</v>
      </c>
      <c r="E33" s="58">
        <f t="shared" ca="1" si="0"/>
        <v>0</v>
      </c>
      <c r="F33" s="59">
        <f t="shared" ca="1" si="1"/>
        <v>0</v>
      </c>
      <c r="G33" s="54" t="e">
        <f t="shared" si="2"/>
        <v>#DIV/0!</v>
      </c>
      <c r="H33" s="60">
        <f t="shared" ca="1" si="3"/>
        <v>0</v>
      </c>
      <c r="I33" s="61">
        <f t="shared" ca="1" si="4"/>
        <v>0</v>
      </c>
    </row>
    <row r="34" spans="1:9" ht="15.75" x14ac:dyDescent="0.25">
      <c r="A34" s="62" t="s">
        <v>48</v>
      </c>
      <c r="B34" s="63">
        <f>$B$28-2</f>
        <v>-2</v>
      </c>
      <c r="C34" s="50">
        <f t="shared" ca="1" si="5"/>
        <v>0</v>
      </c>
      <c r="D34" s="57">
        <f t="shared" ca="1" si="6"/>
        <v>0</v>
      </c>
      <c r="E34" s="58">
        <f t="shared" ca="1" si="0"/>
        <v>0</v>
      </c>
      <c r="F34" s="59">
        <f t="shared" ca="1" si="1"/>
        <v>0</v>
      </c>
      <c r="G34" s="54" t="e">
        <f t="shared" si="2"/>
        <v>#DIV/0!</v>
      </c>
      <c r="H34" s="60">
        <f t="shared" ca="1" si="3"/>
        <v>0</v>
      </c>
      <c r="I34" s="61">
        <f t="shared" ca="1" si="4"/>
        <v>0</v>
      </c>
    </row>
    <row r="35" spans="1:9" ht="15.75" x14ac:dyDescent="0.25">
      <c r="A35" s="62" t="s">
        <v>54</v>
      </c>
      <c r="B35" s="63">
        <f>$B$28-3</f>
        <v>-3</v>
      </c>
      <c r="C35" s="50">
        <f t="shared" ca="1" si="5"/>
        <v>0</v>
      </c>
      <c r="D35" s="57">
        <f t="shared" ca="1" si="6"/>
        <v>0</v>
      </c>
      <c r="E35" s="58">
        <f t="shared" ca="1" si="0"/>
        <v>0</v>
      </c>
      <c r="F35" s="59">
        <f t="shared" ca="1" si="1"/>
        <v>0</v>
      </c>
      <c r="G35" s="54" t="e">
        <f t="shared" si="2"/>
        <v>#DIV/0!</v>
      </c>
      <c r="H35" s="60">
        <f t="shared" ca="1" si="3"/>
        <v>0</v>
      </c>
      <c r="I35" s="61">
        <f t="shared" ca="1" si="4"/>
        <v>0</v>
      </c>
    </row>
    <row r="36" spans="1:9" ht="15.75" x14ac:dyDescent="0.25">
      <c r="A36" s="62" t="s">
        <v>49</v>
      </c>
      <c r="B36" s="63">
        <f>$B$28-4</f>
        <v>-4</v>
      </c>
      <c r="C36" s="50">
        <f t="shared" ca="1" si="5"/>
        <v>0</v>
      </c>
      <c r="D36" s="57">
        <f t="shared" ca="1" si="6"/>
        <v>0</v>
      </c>
      <c r="E36" s="58">
        <f t="shared" ca="1" si="0"/>
        <v>0</v>
      </c>
      <c r="F36" s="59">
        <f t="shared" ca="1" si="1"/>
        <v>0</v>
      </c>
      <c r="G36" s="54" t="e">
        <f t="shared" si="2"/>
        <v>#DIV/0!</v>
      </c>
      <c r="H36" s="60">
        <f t="shared" ca="1" si="3"/>
        <v>0</v>
      </c>
      <c r="I36" s="61">
        <f t="shared" ca="1" si="4"/>
        <v>0</v>
      </c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algorithmName="SHA-512" hashValue="ke2inzVt9+CTZTxT0nvhBxiNKDg3755aY/rXnRIBy8G0pYOdUY8nHr7AOsvTj0/NtR5jk7tkYe/W39Yglfbu1Q==" saltValue="O4QneqUfxOLzufdWcEjPWQ==" spinCount="100000" sheet="1" objects="1" scenarios="1"/>
  <protectedRanges>
    <protectedRange sqref="B3:B16" name="Intervalo1"/>
  </protectedRanges>
  <mergeCells count="1">
    <mergeCell ref="D26:F26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</dc:creator>
  <cp:lastModifiedBy>marcelo drescher</cp:lastModifiedBy>
  <dcterms:created xsi:type="dcterms:W3CDTF">2010-10-03T03:56:28Z</dcterms:created>
  <dcterms:modified xsi:type="dcterms:W3CDTF">2019-07-11T20:14:38Z</dcterms:modified>
</cp:coreProperties>
</file>